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Kurs i dykkemedisin for leger\Elevøvelser\Antropometri og ytelsestester\"/>
    </mc:Choice>
  </mc:AlternateContent>
  <bookViews>
    <workbookView showHorizontalScroll="0" showVerticalScroll="0" xWindow="405" yWindow="105" windowWidth="14505" windowHeight="9735" activeTab="6"/>
  </bookViews>
  <sheets>
    <sheet name="Spirometri" sheetId="1" r:id="rId1"/>
    <sheet name="Kroppsfett" sheetId="3" r:id="rId2"/>
    <sheet name="Aastrand" sheetId="2" r:id="rId3"/>
    <sheet name="University of Houston" sheetId="4" r:id="rId4"/>
    <sheet name="Chester step test beregningsark" sheetId="6" r:id="rId5"/>
    <sheet name="Chester step test plotteark" sheetId="7" r:id="rId6"/>
    <sheet name="Harvard Step test" sheetId="5" r:id="rId7"/>
  </sheets>
  <externalReferences>
    <externalReference r:id="rId8"/>
  </externalReferences>
  <calcPr calcId="152511" concurrentCalc="0"/>
</workbook>
</file>

<file path=xl/calcChain.xml><?xml version="1.0" encoding="utf-8"?>
<calcChain xmlns="http://schemas.openxmlformats.org/spreadsheetml/2006/main">
  <c r="N26" i="6" l="1"/>
  <c r="K15" i="6"/>
  <c r="O23" i="6"/>
  <c r="L15" i="6"/>
  <c r="N23" i="6"/>
  <c r="K14" i="6"/>
  <c r="O22" i="6"/>
  <c r="L14" i="6"/>
  <c r="N22" i="6"/>
  <c r="K13" i="6"/>
  <c r="O21" i="6"/>
  <c r="L13" i="6"/>
  <c r="N21" i="6"/>
  <c r="K12" i="6"/>
  <c r="O20" i="6"/>
  <c r="L12" i="6"/>
  <c r="N20" i="6"/>
  <c r="K11" i="6"/>
  <c r="O19" i="6"/>
  <c r="L11" i="6"/>
  <c r="N19" i="6"/>
  <c r="K17" i="6"/>
  <c r="O16" i="6"/>
  <c r="N16" i="6"/>
  <c r="P11" i="6"/>
  <c r="B7" i="5"/>
  <c r="B9" i="5"/>
  <c r="C6" i="4"/>
  <c r="C10" i="4"/>
  <c r="C9" i="4"/>
  <c r="D6" i="3"/>
  <c r="D5" i="3"/>
  <c r="D13" i="1"/>
  <c r="E15" i="1"/>
  <c r="D15" i="1"/>
  <c r="F15" i="1"/>
  <c r="E21" i="1"/>
  <c r="C7" i="1"/>
  <c r="H21" i="1"/>
  <c r="D21" i="1"/>
  <c r="G21" i="1"/>
  <c r="E20" i="1"/>
  <c r="H20" i="1"/>
  <c r="D20" i="1"/>
  <c r="G20" i="1"/>
  <c r="E19" i="1"/>
  <c r="H19" i="1"/>
  <c r="D19" i="1"/>
  <c r="G19" i="1"/>
  <c r="E18" i="1"/>
  <c r="H18" i="1"/>
  <c r="D18" i="1"/>
  <c r="G18" i="1"/>
  <c r="E16" i="1"/>
  <c r="H16" i="1"/>
  <c r="D16" i="1"/>
  <c r="G16" i="1"/>
  <c r="H15" i="1"/>
  <c r="G15" i="1"/>
  <c r="E14" i="1"/>
  <c r="H14" i="1"/>
  <c r="D14" i="1"/>
  <c r="G14" i="1"/>
  <c r="E13" i="1"/>
  <c r="H13" i="1"/>
  <c r="G13" i="1"/>
  <c r="M71" i="2"/>
  <c r="D9" i="2"/>
  <c r="D10" i="2"/>
  <c r="C9" i="2"/>
  <c r="C10" i="2"/>
  <c r="F21" i="1"/>
  <c r="F20" i="1"/>
  <c r="F19" i="1"/>
  <c r="F18" i="1"/>
  <c r="F14" i="1"/>
  <c r="F13" i="1"/>
  <c r="F16" i="1"/>
  <c r="K16" i="6"/>
  <c r="C11" i="6"/>
  <c r="O25" i="6"/>
  <c r="O26" i="6"/>
</calcChain>
</file>

<file path=xl/sharedStrings.xml><?xml version="1.0" encoding="utf-8"?>
<sst xmlns="http://schemas.openxmlformats.org/spreadsheetml/2006/main" count="123" uniqueCount="81">
  <si>
    <t>Alder (år)</t>
  </si>
  <si>
    <t>FVC</t>
  </si>
  <si>
    <t>FEV1</t>
  </si>
  <si>
    <t>PEF</t>
  </si>
  <si>
    <t>Menn</t>
  </si>
  <si>
    <t>Kvinner</t>
  </si>
  <si>
    <t>ECCS</t>
  </si>
  <si>
    <t>HUNT</t>
  </si>
  <si>
    <t>Dine verdier</t>
  </si>
  <si>
    <t>FEV1/FVC</t>
  </si>
  <si>
    <t>Høyde (cm)</t>
  </si>
  <si>
    <t>Belastning</t>
  </si>
  <si>
    <t>HR</t>
  </si>
  <si>
    <t>Max VO2</t>
  </si>
  <si>
    <t>Alder</t>
  </si>
  <si>
    <t>Belastning (W)</t>
  </si>
  <si>
    <t>Just.faktor</t>
  </si>
  <si>
    <t>Vekt</t>
  </si>
  <si>
    <t>Watt</t>
  </si>
  <si>
    <t>min-1</t>
  </si>
  <si>
    <t>år</t>
  </si>
  <si>
    <t>kg</t>
  </si>
  <si>
    <t>l</t>
  </si>
  <si>
    <t>ml/min/kg</t>
  </si>
  <si>
    <t>cm</t>
  </si>
  <si>
    <t>l/min</t>
  </si>
  <si>
    <t>Dine/ECCS</t>
  </si>
  <si>
    <t>Dine/HUNT</t>
  </si>
  <si>
    <t>ECCS/HUNT</t>
  </si>
  <si>
    <t>Kroppsfett (%)</t>
  </si>
  <si>
    <t>Sum hudfoldtykkelse (mm)</t>
  </si>
  <si>
    <t>BMI</t>
  </si>
  <si>
    <t>Aktivitetsindeks</t>
  </si>
  <si>
    <t>Jeg unngår å gå eller anstrenge meg, dvs. bruker konsekvent heis og kjører når jeg kan i stedet for å gå</t>
  </si>
  <si>
    <t>Jeg går rutinemessig, bruker som hovedregel trapp, anstrenger meg en sjelden gang så mye at jeg blir tungpusten eller svetter</t>
  </si>
  <si>
    <t>Jeg deltar ikke i regelmessig trening eller krevende fysisk aktivitet</t>
  </si>
  <si>
    <t>Jeg deltar regelmessig i trening eller arbeid som krever moderat fysisk aktivitet slik som golf, ridning, bowling eller hagearbeid</t>
  </si>
  <si>
    <t>10-60 min per uke</t>
  </si>
  <si>
    <t>Mer enn 1 t per uke</t>
  </si>
  <si>
    <t>Jeg deltar regelmessig i krevende fysisk trening slik som løping eller jogging, svømming, sykling eller annen aerob krevende aktivitet som tennis, basketball eller fotball</t>
  </si>
  <si>
    <t>Jeg løper mindre enn 2 km i uken eller bruker mindre enn 30 min med tilsvarende aktivitet</t>
  </si>
  <si>
    <t>Jeg løper 2-8 km i uken eller bruker 30-60 min med tilsvarende aktivitet</t>
  </si>
  <si>
    <t>Jeg 8-16 km i uken eller bruker 1-3 timer med tilsvarende aktivitet</t>
  </si>
  <si>
    <t>Jeg løper mer enn 16 km i uken eller bruker mer enn 3 timer i tilsvarende aktivitet</t>
  </si>
  <si>
    <t>VO2 max mann</t>
  </si>
  <si>
    <t>VO2 max kvinne</t>
  </si>
  <si>
    <t>Vekt (kg)</t>
  </si>
  <si>
    <t>Testvarighet (sek)</t>
  </si>
  <si>
    <t>Puls 1 (30 sek)</t>
  </si>
  <si>
    <t>Puls 2 (30 sek)</t>
  </si>
  <si>
    <t>Puls 3 (30 sek)</t>
  </si>
  <si>
    <t>Harvard Step Test Score</t>
  </si>
  <si>
    <t>NB! Maks 300</t>
  </si>
  <si>
    <t>Tolkning Score</t>
  </si>
  <si>
    <t>Svært god</t>
  </si>
  <si>
    <t>&gt;90</t>
  </si>
  <si>
    <t>God</t>
  </si>
  <si>
    <t>80-89</t>
  </si>
  <si>
    <t>Over gjennomsnittet</t>
  </si>
  <si>
    <t>65-79</t>
  </si>
  <si>
    <t>Under gjennomsnittet</t>
  </si>
  <si>
    <t>55-64</t>
  </si>
  <si>
    <t>Dårlig</t>
  </si>
  <si>
    <t>&lt;55</t>
  </si>
  <si>
    <t>Sum puls-score</t>
  </si>
  <si>
    <t>Harvard og RAFT step test</t>
  </si>
  <si>
    <t>Skammelhøyde</t>
  </si>
  <si>
    <t>Step rate/høyde</t>
  </si>
  <si>
    <t>Level 1 (0-2 min)</t>
  </si>
  <si>
    <t>trinn/min</t>
  </si>
  <si>
    <t>Level 2 (2-4 min)</t>
  </si>
  <si>
    <t>Level 3 (4-6 min)</t>
  </si>
  <si>
    <t>Level 4 (6-8 min)</t>
  </si>
  <si>
    <t>Level 5 (8-10 min)</t>
  </si>
  <si>
    <t>Fem målepunkt</t>
  </si>
  <si>
    <t>VO2 max</t>
  </si>
  <si>
    <t>Antall 0</t>
  </si>
  <si>
    <t>Skjæringspunkt</t>
  </si>
  <si>
    <t>Stigningstall</t>
  </si>
  <si>
    <t>VO2 v HR 60</t>
  </si>
  <si>
    <t>VO2 v  max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</si>
</sst>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3" borderId="0" xfId="0" applyFont="1" applyFill="1"/>
    <xf numFmtId="0" fontId="0" fillId="3" borderId="0" xfId="0" applyFill="1"/>
    <xf numFmtId="0" fontId="8" fillId="0" borderId="0" xfId="5"/>
    <xf numFmtId="0" fontId="7" fillId="0" borderId="2" xfId="4"/>
    <xf numFmtId="0" fontId="2" fillId="0" borderId="0" xfId="0" applyFont="1"/>
    <xf numFmtId="0" fontId="3" fillId="0" borderId="0" xfId="0" applyFont="1"/>
    <xf numFmtId="0" fontId="5" fillId="5" borderId="0" xfId="2" applyProtection="1">
      <protection locked="0"/>
    </xf>
    <xf numFmtId="165" fontId="4" fillId="4" borderId="0" xfId="1" applyNumberFormat="1"/>
    <xf numFmtId="165" fontId="4" fillId="4" borderId="1" xfId="1" applyNumberFormat="1" applyBorder="1" applyProtection="1"/>
    <xf numFmtId="165" fontId="4" fillId="4" borderId="1" xfId="1" applyNumberFormat="1" applyBorder="1"/>
    <xf numFmtId="0" fontId="4" fillId="4" borderId="0" xfId="1"/>
    <xf numFmtId="9" fontId="4" fillId="4" borderId="0" xfId="1" applyNumberFormat="1"/>
    <xf numFmtId="164" fontId="4" fillId="4" borderId="0" xfId="1" applyNumberFormat="1" applyProtection="1"/>
    <xf numFmtId="9" fontId="4" fillId="4" borderId="0" xfId="1" applyNumberFormat="1" applyProtection="1"/>
    <xf numFmtId="1" fontId="4" fillId="4" borderId="0" xfId="1" applyNumberFormat="1" applyProtection="1"/>
    <xf numFmtId="1" fontId="4" fillId="4" borderId="0" xfId="1" applyNumberFormat="1"/>
    <xf numFmtId="0" fontId="6" fillId="6" borderId="0" xfId="3"/>
  </cellXfs>
  <cellStyles count="6">
    <cellStyle name="Dårlig" xfId="1" builtinId="27"/>
    <cellStyle name="God" xfId="2" builtinId="26"/>
    <cellStyle name="Normal" xfId="0" builtinId="0"/>
    <cellStyle name="Nøytral" xfId="3" builtinId="28"/>
    <cellStyle name="Overskrift 1" xfId="4" builtinId="16"/>
    <cellStyle name="Tittel" xfId="5" builtin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VO2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'[1]Chester step test'!$N$19:$N$23</c:f>
              <c:numCache>
                <c:formatCode>General</c:formatCode>
                <c:ptCount val="5"/>
                <c:pt idx="0">
                  <c:v>80</c:v>
                </c:pt>
                <c:pt idx="1">
                  <c:v>90</c:v>
                </c:pt>
                <c:pt idx="2">
                  <c:v>95</c:v>
                </c:pt>
                <c:pt idx="3">
                  <c:v>132</c:v>
                </c:pt>
                <c:pt idx="4">
                  <c:v>145</c:v>
                </c:pt>
              </c:numCache>
            </c:numRef>
          </c:xVal>
          <c:yVal>
            <c:numRef>
              <c:f>'[1]Chester step test'!$O$19:$O$23</c:f>
              <c:numCache>
                <c:formatCode>General</c:formatCode>
                <c:ptCount val="5"/>
                <c:pt idx="0">
                  <c:v>16</c:v>
                </c:pt>
                <c:pt idx="1">
                  <c:v>21</c:v>
                </c:pt>
                <c:pt idx="2">
                  <c:v>27</c:v>
                </c:pt>
                <c:pt idx="3">
                  <c:v>32</c:v>
                </c:pt>
                <c:pt idx="4">
                  <c:v>37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'[1]Chester step test'!$N$25:$N$26</c:f>
              <c:numCache>
                <c:formatCode>General</c:formatCode>
                <c:ptCount val="2"/>
                <c:pt idx="0">
                  <c:v>60</c:v>
                </c:pt>
                <c:pt idx="1">
                  <c:v>200</c:v>
                </c:pt>
              </c:numCache>
            </c:numRef>
          </c:xVal>
          <c:yVal>
            <c:numRef>
              <c:f>'[1]Chester step test'!$O$25:$O$26</c:f>
              <c:numCache>
                <c:formatCode>General</c:formatCode>
                <c:ptCount val="2"/>
                <c:pt idx="0">
                  <c:v>12.974916180305474</c:v>
                </c:pt>
                <c:pt idx="1">
                  <c:v>52.386315658760708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399480"/>
        <c:axId val="573395952"/>
      </c:scatterChart>
      <c:valAx>
        <c:axId val="573399480"/>
        <c:scaling>
          <c:orientation val="minMax"/>
          <c:max val="20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HR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395952"/>
        <c:crosses val="autoZero"/>
        <c:crossBetween val="midCat"/>
      </c:valAx>
      <c:valAx>
        <c:axId val="573395952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399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- 30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[1]Plotteark!$Q$2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[1]Plotteark!$P$3:$P$11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[1]Plotteark!$Q$3:$Q$11</c:f>
              <c:numCache>
                <c:formatCode>General</c:formatCode>
                <c:ptCount val="9"/>
                <c:pt idx="0">
                  <c:v>16</c:v>
                </c:pt>
                <c:pt idx="1">
                  <c:v>21</c:v>
                </c:pt>
                <c:pt idx="2">
                  <c:v>27</c:v>
                </c:pt>
                <c:pt idx="3">
                  <c:v>32</c:v>
                </c:pt>
                <c:pt idx="4">
                  <c:v>37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12336"/>
        <c:axId val="573415472"/>
      </c:scatterChart>
      <c:valAx>
        <c:axId val="573412336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5472"/>
        <c:crosses val="autoZero"/>
        <c:crossBetween val="midCat"/>
        <c:minorUnit val="5"/>
      </c:valAx>
      <c:valAx>
        <c:axId val="57341547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- 25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[1]Plotteark!$T$2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[1]Plotteark!$S$3:$S$11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[1]Plotteark!$T$3:$T$11</c:f>
              <c:numCache>
                <c:formatCode>General</c:formatCode>
                <c:ptCount val="9"/>
                <c:pt idx="0">
                  <c:v>14</c:v>
                </c:pt>
                <c:pt idx="1">
                  <c:v>19</c:v>
                </c:pt>
                <c:pt idx="2">
                  <c:v>24</c:v>
                </c:pt>
                <c:pt idx="3">
                  <c:v>28</c:v>
                </c:pt>
                <c:pt idx="4">
                  <c:v>33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16256"/>
        <c:axId val="573413120"/>
      </c:scatterChart>
      <c:valAx>
        <c:axId val="573416256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3120"/>
        <c:crosses val="autoZero"/>
        <c:crossBetween val="midCat"/>
        <c:minorUnit val="5"/>
      </c:valAx>
      <c:valAx>
        <c:axId val="57341312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- 20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[1]Plotteark!$W$2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[1]Plotteark!$V$3:$V$11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[1]Plotteark!$W$3:$W$11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26</c:v>
                </c:pt>
                <c:pt idx="4">
                  <c:v>29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15080"/>
        <c:axId val="573418216"/>
      </c:scatterChart>
      <c:valAx>
        <c:axId val="573415080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8216"/>
        <c:crosses val="autoZero"/>
        <c:crossBetween val="midCat"/>
        <c:minorUnit val="5"/>
      </c:valAx>
      <c:valAx>
        <c:axId val="5734182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5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- 15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[1]Plotteark!$Z$2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[1]Plotteark!$Y$3:$Y$11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[1]Plotteark!$Z$3:$Z$11</c:f>
              <c:numCache>
                <c:formatCode>General</c:formatCode>
                <c:ptCount val="9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13904"/>
        <c:axId val="573412728"/>
      </c:scatterChart>
      <c:valAx>
        <c:axId val="573413904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2728"/>
        <c:crosses val="autoZero"/>
        <c:crossBetween val="midCat"/>
        <c:minorUnit val="5"/>
      </c:valAx>
      <c:valAx>
        <c:axId val="5734127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41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100012</xdr:rowOff>
    </xdr:from>
    <xdr:to>
      <xdr:col>6</xdr:col>
      <xdr:colOff>581025</xdr:colOff>
      <xdr:row>35</xdr:row>
      <xdr:rowOff>176212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11</xdr:row>
      <xdr:rowOff>152399</xdr:rowOff>
    </xdr:from>
    <xdr:ext cx="4495800" cy="1642373"/>
    <xdr:sp macro="" textlink="">
      <xdr:nvSpPr>
        <xdr:cNvPr id="5" name="TekstSylinder 4"/>
        <xdr:cNvSpPr txBox="1"/>
      </xdr:nvSpPr>
      <xdr:spPr>
        <a:xfrm>
          <a:off x="409575" y="2247899"/>
          <a:ext cx="4495800" cy="16423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Fyll inn grønne celler med verdier, øvrige celler er låste. </a:t>
          </a:r>
          <a:r>
            <a:rPr lang="nb-NO" sz="1100" baseline="0"/>
            <a:t> Tillatt skammelhøyde er 15, 20, 25 og 30 cm. Du vil ellers får feil i formelen. Hvis du mangler måleverdier for hjertefrekvens så la cellen stå tom eller skriv 0. Estimert maksimalt VO2 (VO2 max) vises i rød celle.</a:t>
          </a:r>
        </a:p>
        <a:p>
          <a:r>
            <a:rPr lang="nb-NO" sz="1100" baseline="0"/>
            <a:t>Diagrammet viser sammenheng mellom hjertefrekvens og VO2 på de ulike nivåene. Den orange streken viser regresjonslinjen mellom punktene. Orange punkt markerer estimert maksimal hjertefrekvens og estimert</a:t>
          </a:r>
        </a:p>
        <a:p>
          <a:r>
            <a:rPr lang="nb-NO" sz="1100" baseline="0"/>
            <a:t>VO2 maks. Hvis det mangler noen datapunkter så vil </a:t>
          </a:r>
          <a:r>
            <a:rPr lang="nb-NO" sz="1100" i="1" baseline="0"/>
            <a:t>ingen</a:t>
          </a:r>
          <a:r>
            <a:rPr lang="nb-NO" sz="1100" baseline="0"/>
            <a:t> av målepunktene vises, men regresjonslinjen og VO2 maks vil vises korrekt.</a:t>
          </a:r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</xdr:rowOff>
    </xdr:from>
    <xdr:to>
      <xdr:col>6</xdr:col>
      <xdr:colOff>9525</xdr:colOff>
      <xdr:row>44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0</xdr:row>
      <xdr:rowOff>0</xdr:rowOff>
    </xdr:from>
    <xdr:to>
      <xdr:col>12</xdr:col>
      <xdr:colOff>142875</xdr:colOff>
      <xdr:row>44</xdr:row>
      <xdr:rowOff>147638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47625</xdr:rowOff>
    </xdr:from>
    <xdr:to>
      <xdr:col>6</xdr:col>
      <xdr:colOff>0</xdr:colOff>
      <xdr:row>92</xdr:row>
      <xdr:rowOff>33338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161925</xdr:colOff>
      <xdr:row>47</xdr:row>
      <xdr:rowOff>47625</xdr:rowOff>
    </xdr:from>
    <xdr:to>
      <xdr:col>12</xdr:col>
      <xdr:colOff>161925</xdr:colOff>
      <xdr:row>92</xdr:row>
      <xdr:rowOff>33338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ster%20step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ster step test"/>
      <sheetName val="Plotteark"/>
    </sheetNames>
    <sheetDataSet>
      <sheetData sheetId="0">
        <row r="19">
          <cell r="N19">
            <v>80</v>
          </cell>
          <cell r="O19">
            <v>16</v>
          </cell>
        </row>
        <row r="20">
          <cell r="N20">
            <v>90</v>
          </cell>
          <cell r="O20">
            <v>21</v>
          </cell>
        </row>
        <row r="21">
          <cell r="N21">
            <v>95</v>
          </cell>
          <cell r="O21">
            <v>27</v>
          </cell>
        </row>
        <row r="22">
          <cell r="N22">
            <v>132</v>
          </cell>
          <cell r="O22">
            <v>32</v>
          </cell>
        </row>
        <row r="23">
          <cell r="N23">
            <v>145</v>
          </cell>
          <cell r="O23">
            <v>37</v>
          </cell>
        </row>
        <row r="25">
          <cell r="N25">
            <v>60</v>
          </cell>
          <cell r="O25">
            <v>12.974916180305474</v>
          </cell>
        </row>
        <row r="26">
          <cell r="N26">
            <v>200</v>
          </cell>
          <cell r="O26">
            <v>52.386315658760708</v>
          </cell>
        </row>
      </sheetData>
      <sheetData sheetId="1">
        <row r="2">
          <cell r="Q2" t="str">
            <v>VO2 max</v>
          </cell>
          <cell r="T2" t="str">
            <v>VO2 max</v>
          </cell>
          <cell r="W2" t="str">
            <v>VO2 max</v>
          </cell>
          <cell r="Z2" t="str">
            <v>VO2 max</v>
          </cell>
        </row>
        <row r="3">
          <cell r="P3">
            <v>60</v>
          </cell>
          <cell r="Q3">
            <v>16</v>
          </cell>
          <cell r="S3">
            <v>60</v>
          </cell>
          <cell r="T3">
            <v>14</v>
          </cell>
          <cell r="V3">
            <v>60</v>
          </cell>
          <cell r="W3">
            <v>12</v>
          </cell>
          <cell r="Y3">
            <v>60</v>
          </cell>
          <cell r="Z3">
            <v>11</v>
          </cell>
        </row>
        <row r="4">
          <cell r="P4">
            <v>60</v>
          </cell>
          <cell r="Q4">
            <v>21</v>
          </cell>
          <cell r="S4">
            <v>60</v>
          </cell>
          <cell r="T4">
            <v>19</v>
          </cell>
          <cell r="V4">
            <v>60</v>
          </cell>
          <cell r="W4">
            <v>17</v>
          </cell>
          <cell r="Y4">
            <v>60</v>
          </cell>
          <cell r="Z4">
            <v>14</v>
          </cell>
        </row>
        <row r="5">
          <cell r="P5">
            <v>60</v>
          </cell>
          <cell r="Q5">
            <v>27</v>
          </cell>
          <cell r="S5">
            <v>60</v>
          </cell>
          <cell r="T5">
            <v>24</v>
          </cell>
          <cell r="V5">
            <v>60</v>
          </cell>
          <cell r="W5">
            <v>21</v>
          </cell>
          <cell r="Y5">
            <v>60</v>
          </cell>
          <cell r="Z5">
            <v>18</v>
          </cell>
        </row>
        <row r="6">
          <cell r="P6">
            <v>60</v>
          </cell>
          <cell r="Q6">
            <v>32</v>
          </cell>
          <cell r="S6">
            <v>60</v>
          </cell>
          <cell r="T6">
            <v>28</v>
          </cell>
          <cell r="V6">
            <v>60</v>
          </cell>
          <cell r="W6">
            <v>26</v>
          </cell>
          <cell r="Y6">
            <v>60</v>
          </cell>
          <cell r="Z6">
            <v>21</v>
          </cell>
        </row>
        <row r="7">
          <cell r="P7">
            <v>60</v>
          </cell>
          <cell r="Q7">
            <v>37</v>
          </cell>
          <cell r="S7">
            <v>60</v>
          </cell>
          <cell r="T7">
            <v>33</v>
          </cell>
          <cell r="V7">
            <v>60</v>
          </cell>
          <cell r="W7">
            <v>29</v>
          </cell>
          <cell r="Y7">
            <v>60</v>
          </cell>
          <cell r="Z7">
            <v>25</v>
          </cell>
        </row>
        <row r="8">
          <cell r="P8">
            <v>60</v>
          </cell>
          <cell r="Q8">
            <v>100</v>
          </cell>
          <cell r="S8">
            <v>60</v>
          </cell>
          <cell r="T8">
            <v>100</v>
          </cell>
          <cell r="V8">
            <v>60</v>
          </cell>
          <cell r="W8">
            <v>100</v>
          </cell>
          <cell r="Y8">
            <v>60</v>
          </cell>
          <cell r="Z8">
            <v>100</v>
          </cell>
        </row>
        <row r="9">
          <cell r="P9">
            <v>60</v>
          </cell>
          <cell r="Q9">
            <v>100</v>
          </cell>
          <cell r="S9">
            <v>60</v>
          </cell>
          <cell r="T9">
            <v>100</v>
          </cell>
          <cell r="V9">
            <v>60</v>
          </cell>
          <cell r="W9">
            <v>100</v>
          </cell>
          <cell r="Y9">
            <v>60</v>
          </cell>
          <cell r="Z9">
            <v>100</v>
          </cell>
        </row>
        <row r="10">
          <cell r="P10">
            <v>60</v>
          </cell>
          <cell r="Q10">
            <v>100</v>
          </cell>
          <cell r="S10">
            <v>60</v>
          </cell>
          <cell r="T10">
            <v>100</v>
          </cell>
          <cell r="V10">
            <v>60</v>
          </cell>
          <cell r="W10">
            <v>100</v>
          </cell>
          <cell r="Y10">
            <v>60</v>
          </cell>
          <cell r="Z10">
            <v>100</v>
          </cell>
        </row>
        <row r="11">
          <cell r="P11">
            <v>220</v>
          </cell>
          <cell r="Q11">
            <v>100</v>
          </cell>
          <cell r="S11">
            <v>220</v>
          </cell>
          <cell r="T11">
            <v>100</v>
          </cell>
          <cell r="V11">
            <v>220</v>
          </cell>
          <cell r="W11">
            <v>100</v>
          </cell>
          <cell r="Y11">
            <v>220</v>
          </cell>
          <cell r="Z1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workbookViewId="0">
      <selection activeCell="C2" sqref="C2"/>
    </sheetView>
  </sheetViews>
  <sheetFormatPr baseColWidth="10" defaultRowHeight="12.75" x14ac:dyDescent="0.2"/>
  <cols>
    <col min="1" max="1" width="8.28515625" customWidth="1"/>
    <col min="3" max="3" width="12.140625" bestFit="1" customWidth="1"/>
    <col min="5" max="6" width="13" customWidth="1"/>
    <col min="7" max="7" width="12.140625" customWidth="1"/>
    <col min="8" max="8" width="12.42578125" customWidth="1"/>
    <col min="9" max="9" width="14.7109375" bestFit="1" customWidth="1"/>
  </cols>
  <sheetData>
    <row r="1" spans="2:8" x14ac:dyDescent="0.2">
      <c r="C1" s="5" t="s">
        <v>8</v>
      </c>
    </row>
    <row r="2" spans="2:8" ht="15" x14ac:dyDescent="0.25">
      <c r="B2" s="1" t="s">
        <v>0</v>
      </c>
      <c r="C2" s="15">
        <v>20</v>
      </c>
      <c r="D2" s="5" t="s">
        <v>20</v>
      </c>
    </row>
    <row r="3" spans="2:8" ht="15" x14ac:dyDescent="0.25">
      <c r="B3" s="1" t="s">
        <v>10</v>
      </c>
      <c r="C3" s="15">
        <v>175</v>
      </c>
      <c r="D3" s="5" t="s">
        <v>24</v>
      </c>
    </row>
    <row r="4" spans="2:8" ht="15" x14ac:dyDescent="0.25">
      <c r="B4" s="1" t="s">
        <v>1</v>
      </c>
      <c r="C4" s="15">
        <v>5</v>
      </c>
      <c r="D4" s="5" t="s">
        <v>22</v>
      </c>
    </row>
    <row r="5" spans="2:8" ht="15" x14ac:dyDescent="0.25">
      <c r="B5" s="1" t="s">
        <v>2</v>
      </c>
      <c r="C5" s="15">
        <v>4</v>
      </c>
      <c r="D5" s="5" t="s">
        <v>22</v>
      </c>
    </row>
    <row r="6" spans="2:8" ht="15" x14ac:dyDescent="0.25">
      <c r="B6" s="1" t="s">
        <v>3</v>
      </c>
      <c r="C6" s="15">
        <v>500</v>
      </c>
      <c r="D6" s="5" t="s">
        <v>25</v>
      </c>
    </row>
    <row r="7" spans="2:8" ht="15" x14ac:dyDescent="0.25">
      <c r="B7" s="1" t="s">
        <v>9</v>
      </c>
      <c r="C7" s="20">
        <f>C5/C4</f>
        <v>0.8</v>
      </c>
      <c r="D7" s="5"/>
    </row>
    <row r="12" spans="2:8" x14ac:dyDescent="0.2">
      <c r="B12" s="6"/>
      <c r="C12" s="7"/>
      <c r="D12" s="8" t="s">
        <v>6</v>
      </c>
      <c r="E12" s="8" t="s">
        <v>7</v>
      </c>
      <c r="F12" s="8" t="s">
        <v>28</v>
      </c>
      <c r="G12" s="8" t="s">
        <v>26</v>
      </c>
      <c r="H12" s="8" t="s">
        <v>27</v>
      </c>
    </row>
    <row r="13" spans="2:8" ht="15" x14ac:dyDescent="0.25">
      <c r="B13" s="7"/>
      <c r="C13" s="7" t="s">
        <v>1</v>
      </c>
      <c r="D13" s="21">
        <f>0.0576*$C$3-0.026*$C$2-4.34</f>
        <v>5.2200000000000006</v>
      </c>
      <c r="E13" s="21">
        <f>EXP((-12.396+2.733*LN($C$3)-0.0000592*($C$2^2)))</f>
        <v>5.4503513077372574</v>
      </c>
      <c r="F13" s="22">
        <f>D13/E13</f>
        <v>0.95773642931782166</v>
      </c>
      <c r="G13" s="22">
        <f>C4/D13</f>
        <v>0.95785440613026807</v>
      </c>
      <c r="H13" s="22">
        <f>C4/E13</f>
        <v>0.91737205873354555</v>
      </c>
    </row>
    <row r="14" spans="2:8" ht="15" x14ac:dyDescent="0.25">
      <c r="B14" s="7" t="s">
        <v>4</v>
      </c>
      <c r="C14" s="7" t="s">
        <v>2</v>
      </c>
      <c r="D14" s="21">
        <f>0.043*$C$3-0.029*$C$2-2.49</f>
        <v>4.4549999999999992</v>
      </c>
      <c r="E14" s="21">
        <f>EXP((-10.556+2.342*LN($C$3)-0.0000685*($C$2^2)))</f>
        <v>4.5381922544965692</v>
      </c>
      <c r="F14" s="22">
        <f>D14/E14</f>
        <v>0.98166841556477902</v>
      </c>
      <c r="G14" s="22">
        <f>C5/D14</f>
        <v>0.89786756453423133</v>
      </c>
      <c r="H14" s="22">
        <f>C5/E14</f>
        <v>0.88140822946332587</v>
      </c>
    </row>
    <row r="15" spans="2:8" ht="15" x14ac:dyDescent="0.25">
      <c r="B15" s="7"/>
      <c r="C15" s="7" t="s">
        <v>3</v>
      </c>
      <c r="D15" s="23">
        <f>60*(0.0614*$C$3-0.043*$C$2+0.15)</f>
        <v>602.10000000000014</v>
      </c>
      <c r="E15" s="23">
        <f>60*EXP((-6.632+1.731*LN($C$3)-0.0000436*($C$2)^2))</f>
        <v>592.97312827184908</v>
      </c>
      <c r="F15" s="22">
        <f>D15/E15</f>
        <v>1.0153917121923388</v>
      </c>
      <c r="G15" s="22">
        <f>C6/D15</f>
        <v>0.83042683939544903</v>
      </c>
      <c r="H15" s="22">
        <f>C6/E15</f>
        <v>0.84320853030421727</v>
      </c>
    </row>
    <row r="16" spans="2:8" ht="15" x14ac:dyDescent="0.25">
      <c r="B16" s="7"/>
      <c r="C16" s="7" t="s">
        <v>9</v>
      </c>
      <c r="D16" s="23">
        <f>-0.18*$C$2+87.27</f>
        <v>83.67</v>
      </c>
      <c r="E16" s="23">
        <f>EXP((6.433-0.385*LN($C$3)-0.000923*$C$2))</f>
        <v>83.604504485068503</v>
      </c>
      <c r="F16" s="22">
        <f>(D16-E16)/100</f>
        <v>6.549551493149863E-4</v>
      </c>
      <c r="G16" s="22">
        <f>C7-D16/100</f>
        <v>-3.6699999999999955E-2</v>
      </c>
      <c r="H16" s="22">
        <f>C7-E16/100</f>
        <v>-3.6045044850684937E-2</v>
      </c>
    </row>
    <row r="17" spans="2:8" x14ac:dyDescent="0.2">
      <c r="B17" s="6"/>
      <c r="C17" s="6"/>
      <c r="D17" s="6"/>
      <c r="E17" s="6"/>
      <c r="F17" s="6"/>
      <c r="G17" s="6"/>
      <c r="H17" s="6"/>
    </row>
    <row r="18" spans="2:8" ht="15" x14ac:dyDescent="0.25">
      <c r="B18" s="7"/>
      <c r="C18" s="7" t="s">
        <v>1</v>
      </c>
      <c r="D18" s="21">
        <f>0.0443*$C$3-0.026*$C$2-2.89</f>
        <v>4.3424999999999994</v>
      </c>
      <c r="E18" s="21">
        <f>EXP((-9.851+2.189*LN($C$3)-0.000143*($C$2^2))+0.006439*$C$2)</f>
        <v>4.6011050224524608</v>
      </c>
      <c r="F18" s="22">
        <f>D18/E18</f>
        <v>0.94379501854651848</v>
      </c>
      <c r="G18" s="22">
        <f>C4/D18</f>
        <v>1.1514104778353484</v>
      </c>
      <c r="H18" s="22">
        <f>C4/E18</f>
        <v>1.0866954732832683</v>
      </c>
    </row>
    <row r="19" spans="2:8" ht="15" x14ac:dyDescent="0.25">
      <c r="B19" s="7" t="s">
        <v>5</v>
      </c>
      <c r="C19" s="7" t="s">
        <v>2</v>
      </c>
      <c r="D19" s="21">
        <f>0.0395*$C$3-0.025*$C$2-2.6</f>
        <v>3.8124999999999996</v>
      </c>
      <c r="E19" s="21">
        <f>EXP((-9.091+2.004*LN($C$3)-0.000163*($C$2^2))+0.007237*$C$2)</f>
        <v>3.8143531338761094</v>
      </c>
      <c r="F19" s="22">
        <f>D19/E19</f>
        <v>0.99951416824529127</v>
      </c>
      <c r="G19" s="22">
        <f>C5/D19</f>
        <v>1.0491803278688525</v>
      </c>
      <c r="H19" s="22">
        <f>C5/E19</f>
        <v>1.0486706027491581</v>
      </c>
    </row>
    <row r="20" spans="2:8" ht="15" x14ac:dyDescent="0.25">
      <c r="B20" s="7"/>
      <c r="C20" s="7" t="s">
        <v>3</v>
      </c>
      <c r="D20" s="23">
        <f>60*(0.055*$C$3-0.03*$C$2-1.11)</f>
        <v>474.9</v>
      </c>
      <c r="E20" s="23">
        <f>60*EXP((-7.726+1.808*LN($C$3)-0.000286*($C$2^2))+0.022*$C$2)</f>
        <v>416.49631043814634</v>
      </c>
      <c r="F20" s="22">
        <f>D20/E20</f>
        <v>1.1402261871189545</v>
      </c>
      <c r="G20" s="22">
        <f>C6/D20</f>
        <v>1.0528532322594231</v>
      </c>
      <c r="H20" s="22">
        <f>C6/E20</f>
        <v>1.2004908266150289</v>
      </c>
    </row>
    <row r="21" spans="2:8" ht="15" x14ac:dyDescent="0.25">
      <c r="B21" s="7"/>
      <c r="C21" s="7" t="s">
        <v>9</v>
      </c>
      <c r="D21" s="23">
        <f>-0.19*$C$2+89.1</f>
        <v>85.3</v>
      </c>
      <c r="E21" s="23">
        <f>EXP((5.403-0.185*LN($C$3)-0.00115*$C$2))</f>
        <v>83.47227951014213</v>
      </c>
      <c r="F21" s="22">
        <f>(D21-E21)/100</f>
        <v>1.8277204898578675E-2</v>
      </c>
      <c r="G21" s="22">
        <f>C7-D21/100</f>
        <v>-5.2999999999999936E-2</v>
      </c>
      <c r="H21" s="22">
        <f>C7-E21/100</f>
        <v>-3.4722795101421289E-2</v>
      </c>
    </row>
  </sheetData>
  <sheetProtection sheet="1" objects="1" scenarios="1" selectLockedCells="1"/>
  <phoneticPr fontId="0" type="noConversion"/>
  <pageMargins left="0.75" right="0.75" top="0.984251969" bottom="0.984251969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workbookViewId="0">
      <selection activeCell="D2" sqref="D2"/>
    </sheetView>
  </sheetViews>
  <sheetFormatPr baseColWidth="10" defaultRowHeight="12.75" x14ac:dyDescent="0.2"/>
  <cols>
    <col min="2" max="2" width="11.85546875" customWidth="1"/>
    <col min="3" max="3" width="12.85546875" bestFit="1" customWidth="1"/>
  </cols>
  <sheetData>
    <row r="2" spans="2:4" ht="15" x14ac:dyDescent="0.25">
      <c r="B2" s="9" t="s">
        <v>30</v>
      </c>
      <c r="C2" s="10"/>
      <c r="D2" s="15">
        <v>53</v>
      </c>
    </row>
    <row r="3" spans="2:4" ht="15" x14ac:dyDescent="0.25">
      <c r="B3" s="9" t="s">
        <v>0</v>
      </c>
      <c r="C3" s="10"/>
      <c r="D3" s="15">
        <v>39</v>
      </c>
    </row>
    <row r="4" spans="2:4" x14ac:dyDescent="0.2">
      <c r="B4" s="1"/>
    </row>
    <row r="5" spans="2:4" ht="15" x14ac:dyDescent="0.25">
      <c r="B5" s="9" t="s">
        <v>4</v>
      </c>
      <c r="C5" s="9" t="s">
        <v>29</v>
      </c>
      <c r="D5" s="20">
        <f>(4.95/(1.10938-(0.0008267*D2)+(0.0000016*SQRT(D2))-(0.0002574*D3)))-4.5</f>
        <v>0.18955190910433206</v>
      </c>
    </row>
    <row r="6" spans="2:4" ht="15" x14ac:dyDescent="0.25">
      <c r="B6" s="9" t="s">
        <v>5</v>
      </c>
      <c r="C6" s="9" t="s">
        <v>29</v>
      </c>
      <c r="D6" s="20">
        <f>(4.95/(1.0994921-(0.0009929*D2)+(0.0000023*SQRT(D2))-0.0001392*D3))-4.5</f>
        <v>0.2529596677925765</v>
      </c>
    </row>
  </sheetData>
  <sheetProtection sheet="1" objects="1" scenarios="1" selectLockedCells="1"/>
  <phoneticPr fontId="0" type="noConversion"/>
  <pageMargins left="0.75" right="0.75" top="0.984251969" bottom="0.984251969" header="0.5" footer="0.5"/>
  <pageSetup paperSize="9"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1"/>
  <sheetViews>
    <sheetView showGridLines="0" showRowColHeaders="0" topLeftCell="C1" workbookViewId="0">
      <selection activeCell="C2" sqref="C2"/>
    </sheetView>
  </sheetViews>
  <sheetFormatPr baseColWidth="10" defaultRowHeight="12.75" x14ac:dyDescent="0.2"/>
  <cols>
    <col min="1" max="1" width="6.85546875" customWidth="1"/>
    <col min="5" max="5" width="11.28515625" customWidth="1"/>
    <col min="6" max="6" width="200.7109375" customWidth="1"/>
    <col min="7" max="7" width="120.7109375" customWidth="1"/>
  </cols>
  <sheetData>
    <row r="1" spans="2:22" x14ac:dyDescent="0.2">
      <c r="L1" t="s">
        <v>4</v>
      </c>
      <c r="S1" t="s">
        <v>4</v>
      </c>
    </row>
    <row r="2" spans="2:22" ht="15" x14ac:dyDescent="0.25">
      <c r="B2" s="3" t="s">
        <v>11</v>
      </c>
      <c r="C2" s="15">
        <v>200</v>
      </c>
      <c r="D2" s="4" t="s">
        <v>18</v>
      </c>
      <c r="J2" t="s">
        <v>12</v>
      </c>
      <c r="L2" t="s">
        <v>15</v>
      </c>
      <c r="Q2" t="s">
        <v>12</v>
      </c>
      <c r="S2" t="s">
        <v>15</v>
      </c>
    </row>
    <row r="3" spans="2:22" ht="15" x14ac:dyDescent="0.25">
      <c r="B3" s="3" t="s">
        <v>12</v>
      </c>
      <c r="C3" s="15">
        <v>160</v>
      </c>
      <c r="D3" s="4" t="s">
        <v>19</v>
      </c>
      <c r="K3">
        <v>50</v>
      </c>
      <c r="L3">
        <v>100</v>
      </c>
      <c r="M3">
        <v>150</v>
      </c>
      <c r="N3">
        <v>200</v>
      </c>
      <c r="R3">
        <v>50</v>
      </c>
      <c r="S3">
        <v>100</v>
      </c>
      <c r="T3">
        <v>150</v>
      </c>
      <c r="U3">
        <v>200</v>
      </c>
      <c r="V3">
        <v>250</v>
      </c>
    </row>
    <row r="4" spans="2:22" ht="15" x14ac:dyDescent="0.25">
      <c r="B4" s="3" t="s">
        <v>14</v>
      </c>
      <c r="C4" s="15">
        <v>30</v>
      </c>
      <c r="D4" s="4" t="s">
        <v>20</v>
      </c>
      <c r="J4">
        <v>120</v>
      </c>
      <c r="K4">
        <v>2.2000000000000002</v>
      </c>
      <c r="L4">
        <v>3.5</v>
      </c>
      <c r="M4">
        <v>4.8</v>
      </c>
      <c r="Q4">
        <v>120</v>
      </c>
      <c r="R4">
        <v>2.6</v>
      </c>
      <c r="S4">
        <v>3.4</v>
      </c>
      <c r="T4">
        <v>4.0999999999999996</v>
      </c>
      <c r="U4">
        <v>4.8</v>
      </c>
    </row>
    <row r="5" spans="2:22" ht="15" x14ac:dyDescent="0.25">
      <c r="B5" s="3" t="s">
        <v>17</v>
      </c>
      <c r="C5" s="15">
        <v>80</v>
      </c>
      <c r="D5" s="4" t="s">
        <v>21</v>
      </c>
      <c r="J5">
        <v>121</v>
      </c>
      <c r="K5">
        <v>2.2000000000000002</v>
      </c>
      <c r="L5">
        <v>3.4</v>
      </c>
      <c r="M5">
        <v>4.7</v>
      </c>
      <c r="Q5">
        <v>121</v>
      </c>
      <c r="R5">
        <v>2.5</v>
      </c>
      <c r="S5">
        <v>3.3</v>
      </c>
      <c r="T5">
        <v>4</v>
      </c>
      <c r="U5">
        <v>4.8</v>
      </c>
    </row>
    <row r="6" spans="2:22" x14ac:dyDescent="0.2">
      <c r="J6">
        <v>122</v>
      </c>
      <c r="K6">
        <v>2.2000000000000002</v>
      </c>
      <c r="L6">
        <v>3.4</v>
      </c>
      <c r="M6">
        <v>4.5999999999999996</v>
      </c>
      <c r="Q6">
        <v>122</v>
      </c>
      <c r="R6">
        <v>2.5</v>
      </c>
      <c r="S6">
        <v>3.2</v>
      </c>
      <c r="T6">
        <v>3.9</v>
      </c>
      <c r="U6">
        <v>4.7</v>
      </c>
    </row>
    <row r="7" spans="2:22" x14ac:dyDescent="0.2">
      <c r="J7">
        <v>123</v>
      </c>
      <c r="K7">
        <v>2.1</v>
      </c>
      <c r="L7">
        <v>3.4</v>
      </c>
      <c r="M7">
        <v>4.5999999999999996</v>
      </c>
      <c r="Q7">
        <v>123</v>
      </c>
      <c r="R7">
        <v>2.4</v>
      </c>
      <c r="S7">
        <v>3.1</v>
      </c>
      <c r="T7">
        <v>3.9</v>
      </c>
      <c r="U7">
        <v>4.5999999999999996</v>
      </c>
    </row>
    <row r="8" spans="2:22" x14ac:dyDescent="0.2">
      <c r="B8" s="1"/>
      <c r="C8" s="3" t="s">
        <v>4</v>
      </c>
      <c r="D8" s="4" t="s">
        <v>5</v>
      </c>
      <c r="J8">
        <v>124</v>
      </c>
      <c r="K8">
        <v>2.1</v>
      </c>
      <c r="L8">
        <v>3.3</v>
      </c>
      <c r="M8">
        <v>4.5</v>
      </c>
      <c r="N8">
        <v>6</v>
      </c>
      <c r="Q8">
        <v>124</v>
      </c>
      <c r="R8">
        <v>2.4</v>
      </c>
      <c r="S8">
        <v>3.1</v>
      </c>
      <c r="T8">
        <v>3.8</v>
      </c>
      <c r="U8">
        <v>4.5</v>
      </c>
    </row>
    <row r="9" spans="2:22" ht="15" x14ac:dyDescent="0.25">
      <c r="B9" s="3" t="s">
        <v>13</v>
      </c>
      <c r="C9" s="19">
        <f>HLOOKUP(C2,J3:N54,C3-118) * VLOOKUP(C4,J58:K66,2)</f>
        <v>3.7</v>
      </c>
      <c r="D9" s="19">
        <f>HLOOKUP(C2,Q3:V54,C3-118) * VLOOKUP(C4,J58:K66,2)</f>
        <v>2.6</v>
      </c>
      <c r="E9" s="4" t="s">
        <v>22</v>
      </c>
      <c r="J9">
        <v>125</v>
      </c>
      <c r="K9">
        <v>2</v>
      </c>
      <c r="L9">
        <v>3.2</v>
      </c>
      <c r="M9">
        <v>4.4000000000000004</v>
      </c>
      <c r="N9">
        <v>5.9</v>
      </c>
      <c r="Q9">
        <v>125</v>
      </c>
      <c r="R9">
        <v>2.2999999999999998</v>
      </c>
      <c r="S9">
        <v>3</v>
      </c>
      <c r="T9">
        <v>3.7</v>
      </c>
      <c r="U9">
        <v>4.4000000000000004</v>
      </c>
    </row>
    <row r="10" spans="2:22" ht="15" x14ac:dyDescent="0.25">
      <c r="B10" s="3" t="s">
        <v>13</v>
      </c>
      <c r="C10" s="19">
        <f>C9/C5*1000</f>
        <v>46.25</v>
      </c>
      <c r="D10" s="19">
        <f>D9/C5*1000</f>
        <v>32.5</v>
      </c>
      <c r="E10" s="4" t="s">
        <v>23</v>
      </c>
      <c r="J10">
        <v>126</v>
      </c>
      <c r="K10">
        <v>2</v>
      </c>
      <c r="L10">
        <v>3.2</v>
      </c>
      <c r="M10">
        <v>4.4000000000000004</v>
      </c>
      <c r="N10">
        <v>5.8</v>
      </c>
      <c r="Q10">
        <v>126</v>
      </c>
      <c r="R10">
        <v>2.2999999999999998</v>
      </c>
      <c r="S10">
        <v>3</v>
      </c>
      <c r="T10">
        <v>3.6</v>
      </c>
      <c r="U10">
        <v>4.3</v>
      </c>
    </row>
    <row r="11" spans="2:22" ht="2.25" customHeight="1" x14ac:dyDescent="0.2">
      <c r="J11">
        <v>127</v>
      </c>
      <c r="K11">
        <v>2</v>
      </c>
      <c r="L11">
        <v>3.1</v>
      </c>
      <c r="M11">
        <v>4.3</v>
      </c>
      <c r="N11">
        <v>5.7</v>
      </c>
      <c r="Q11">
        <v>127</v>
      </c>
      <c r="R11">
        <v>2.2000000000000002</v>
      </c>
      <c r="S11">
        <v>2.9</v>
      </c>
      <c r="T11">
        <v>3.5</v>
      </c>
      <c r="U11">
        <v>4.2</v>
      </c>
    </row>
    <row r="12" spans="2:22" x14ac:dyDescent="0.2">
      <c r="J12">
        <v>128</v>
      </c>
      <c r="K12">
        <v>2</v>
      </c>
      <c r="L12">
        <v>3.1</v>
      </c>
      <c r="M12">
        <v>4.2</v>
      </c>
      <c r="N12">
        <v>5.6</v>
      </c>
      <c r="Q12">
        <v>128</v>
      </c>
      <c r="R12">
        <v>2.2000000000000002</v>
      </c>
      <c r="S12">
        <v>2.8</v>
      </c>
      <c r="T12">
        <v>3.5</v>
      </c>
      <c r="U12">
        <v>4.2</v>
      </c>
      <c r="V12">
        <v>4.8</v>
      </c>
    </row>
    <row r="13" spans="2:22" x14ac:dyDescent="0.2">
      <c r="J13">
        <v>129</v>
      </c>
      <c r="K13">
        <v>1.9</v>
      </c>
      <c r="L13">
        <v>3</v>
      </c>
      <c r="M13">
        <v>4.2</v>
      </c>
      <c r="N13">
        <v>5.6</v>
      </c>
      <c r="Q13">
        <v>129</v>
      </c>
      <c r="R13">
        <v>2.2000000000000002</v>
      </c>
      <c r="S13">
        <v>2.8</v>
      </c>
      <c r="T13">
        <v>3.4</v>
      </c>
      <c r="U13">
        <v>4.0999999999999996</v>
      </c>
      <c r="V13">
        <v>4.8</v>
      </c>
    </row>
    <row r="14" spans="2:22" x14ac:dyDescent="0.2">
      <c r="J14">
        <v>130</v>
      </c>
      <c r="K14">
        <v>1.9</v>
      </c>
      <c r="L14">
        <v>2.9</v>
      </c>
      <c r="M14">
        <v>4.0999999999999996</v>
      </c>
      <c r="N14">
        <v>5.5</v>
      </c>
      <c r="Q14">
        <v>130</v>
      </c>
      <c r="R14">
        <v>2.1</v>
      </c>
      <c r="S14">
        <v>2.7</v>
      </c>
      <c r="T14">
        <v>3.4</v>
      </c>
      <c r="U14">
        <v>4</v>
      </c>
      <c r="V14">
        <v>4.7</v>
      </c>
    </row>
    <row r="15" spans="2:22" x14ac:dyDescent="0.2">
      <c r="D15" s="2"/>
      <c r="J15">
        <v>131</v>
      </c>
      <c r="K15">
        <v>1.9</v>
      </c>
      <c r="L15">
        <v>2.9</v>
      </c>
      <c r="M15">
        <v>4</v>
      </c>
      <c r="N15">
        <v>5.4</v>
      </c>
      <c r="Q15">
        <v>131</v>
      </c>
      <c r="R15">
        <v>2.1</v>
      </c>
      <c r="S15">
        <v>2.7</v>
      </c>
      <c r="T15">
        <v>3.4</v>
      </c>
      <c r="U15">
        <v>4</v>
      </c>
      <c r="V15">
        <v>4.5999999999999996</v>
      </c>
    </row>
    <row r="16" spans="2:22" x14ac:dyDescent="0.2">
      <c r="D16" s="2"/>
      <c r="J16">
        <v>132</v>
      </c>
      <c r="K16">
        <v>1.8</v>
      </c>
      <c r="L16">
        <v>2.8</v>
      </c>
      <c r="M16">
        <v>4</v>
      </c>
      <c r="N16">
        <v>5.3</v>
      </c>
      <c r="Q16">
        <v>132</v>
      </c>
      <c r="R16">
        <v>2</v>
      </c>
      <c r="S16">
        <v>2.7</v>
      </c>
      <c r="T16">
        <v>3.3</v>
      </c>
      <c r="U16">
        <v>3.9</v>
      </c>
      <c r="V16">
        <v>4.5</v>
      </c>
    </row>
    <row r="17" spans="4:22" x14ac:dyDescent="0.2">
      <c r="D17" s="2"/>
      <c r="J17">
        <v>133</v>
      </c>
      <c r="K17">
        <v>1.8</v>
      </c>
      <c r="L17">
        <v>2.8</v>
      </c>
      <c r="M17">
        <v>3.9</v>
      </c>
      <c r="N17">
        <v>5.3</v>
      </c>
      <c r="Q17">
        <v>133</v>
      </c>
      <c r="R17">
        <v>2</v>
      </c>
      <c r="S17">
        <v>2.6</v>
      </c>
      <c r="T17">
        <v>3.2</v>
      </c>
      <c r="U17">
        <v>3.8</v>
      </c>
      <c r="V17">
        <v>4.4000000000000004</v>
      </c>
    </row>
    <row r="18" spans="4:22" x14ac:dyDescent="0.2">
      <c r="D18" s="2"/>
      <c r="J18">
        <v>134</v>
      </c>
      <c r="K18">
        <v>1.8</v>
      </c>
      <c r="L18">
        <v>2.8</v>
      </c>
      <c r="M18">
        <v>3.9</v>
      </c>
      <c r="N18">
        <v>5.2</v>
      </c>
      <c r="Q18">
        <v>134</v>
      </c>
      <c r="R18">
        <v>2</v>
      </c>
      <c r="S18">
        <v>2.6</v>
      </c>
      <c r="T18">
        <v>3.2</v>
      </c>
      <c r="U18">
        <v>3.8</v>
      </c>
      <c r="V18">
        <v>4.4000000000000004</v>
      </c>
    </row>
    <row r="19" spans="4:22" x14ac:dyDescent="0.2">
      <c r="D19" s="2"/>
      <c r="J19">
        <v>135</v>
      </c>
      <c r="K19">
        <v>1.7</v>
      </c>
      <c r="L19">
        <v>2.8</v>
      </c>
      <c r="M19">
        <v>3.8</v>
      </c>
      <c r="N19">
        <v>5.0999999999999996</v>
      </c>
      <c r="Q19">
        <v>135</v>
      </c>
      <c r="R19">
        <v>2</v>
      </c>
      <c r="S19">
        <v>2.6</v>
      </c>
      <c r="T19">
        <v>3.1</v>
      </c>
      <c r="U19">
        <v>3.7</v>
      </c>
      <c r="V19">
        <v>4.3</v>
      </c>
    </row>
    <row r="20" spans="4:22" x14ac:dyDescent="0.2">
      <c r="D20" s="2"/>
      <c r="J20">
        <v>136</v>
      </c>
      <c r="K20">
        <v>1.7</v>
      </c>
      <c r="L20">
        <v>2.7</v>
      </c>
      <c r="M20">
        <v>3.8</v>
      </c>
      <c r="N20">
        <v>5</v>
      </c>
      <c r="Q20">
        <v>136</v>
      </c>
      <c r="R20">
        <v>1.9</v>
      </c>
      <c r="S20">
        <v>2.5</v>
      </c>
      <c r="T20">
        <v>3.1</v>
      </c>
      <c r="U20">
        <v>3.6</v>
      </c>
      <c r="V20">
        <v>4.2</v>
      </c>
    </row>
    <row r="21" spans="4:22" x14ac:dyDescent="0.2">
      <c r="J21">
        <v>137</v>
      </c>
      <c r="K21">
        <v>1.7</v>
      </c>
      <c r="L21">
        <v>2.7</v>
      </c>
      <c r="M21">
        <v>3.7</v>
      </c>
      <c r="N21">
        <v>5</v>
      </c>
      <c r="Q21">
        <v>137</v>
      </c>
      <c r="R21">
        <v>1.9</v>
      </c>
      <c r="S21">
        <v>2.5</v>
      </c>
      <c r="T21">
        <v>3</v>
      </c>
      <c r="U21">
        <v>3.6</v>
      </c>
      <c r="V21">
        <v>4.2</v>
      </c>
    </row>
    <row r="22" spans="4:22" x14ac:dyDescent="0.2">
      <c r="J22">
        <v>138</v>
      </c>
      <c r="K22">
        <v>1.6</v>
      </c>
      <c r="L22">
        <v>2.7</v>
      </c>
      <c r="M22">
        <v>3.7</v>
      </c>
      <c r="N22">
        <v>4.9000000000000004</v>
      </c>
      <c r="Q22">
        <v>138</v>
      </c>
      <c r="R22">
        <v>1.8</v>
      </c>
      <c r="S22">
        <v>2.4</v>
      </c>
      <c r="T22">
        <v>3</v>
      </c>
      <c r="U22">
        <v>3.5</v>
      </c>
      <c r="V22">
        <v>4.0999999999999996</v>
      </c>
    </row>
    <row r="23" spans="4:22" x14ac:dyDescent="0.2">
      <c r="J23">
        <v>139</v>
      </c>
      <c r="L23">
        <v>2.7</v>
      </c>
      <c r="M23">
        <v>3.6</v>
      </c>
      <c r="N23">
        <v>4.8</v>
      </c>
      <c r="Q23">
        <v>139</v>
      </c>
      <c r="R23">
        <v>1.8</v>
      </c>
      <c r="S23">
        <v>2.4</v>
      </c>
      <c r="T23">
        <v>2.9</v>
      </c>
      <c r="U23">
        <v>3.5</v>
      </c>
      <c r="V23">
        <v>4</v>
      </c>
    </row>
    <row r="24" spans="4:22" x14ac:dyDescent="0.2">
      <c r="J24">
        <v>140</v>
      </c>
      <c r="L24">
        <v>2.7</v>
      </c>
      <c r="M24">
        <v>3.6</v>
      </c>
      <c r="N24">
        <v>4.8</v>
      </c>
      <c r="Q24">
        <v>140</v>
      </c>
      <c r="R24">
        <v>1.8</v>
      </c>
      <c r="S24">
        <v>2.4</v>
      </c>
      <c r="T24">
        <v>2.8</v>
      </c>
      <c r="U24">
        <v>3.4</v>
      </c>
      <c r="V24">
        <v>4</v>
      </c>
    </row>
    <row r="25" spans="4:22" x14ac:dyDescent="0.2">
      <c r="J25">
        <v>141</v>
      </c>
      <c r="L25">
        <v>2.6</v>
      </c>
      <c r="M25">
        <v>3.5</v>
      </c>
      <c r="N25">
        <v>4.7</v>
      </c>
      <c r="Q25">
        <v>141</v>
      </c>
      <c r="R25">
        <v>1.8</v>
      </c>
      <c r="S25">
        <v>2.2999999999999998</v>
      </c>
      <c r="T25">
        <v>2.8</v>
      </c>
      <c r="U25">
        <v>3.4</v>
      </c>
      <c r="V25">
        <v>3.9</v>
      </c>
    </row>
    <row r="26" spans="4:22" x14ac:dyDescent="0.2">
      <c r="J26">
        <v>142</v>
      </c>
      <c r="L26">
        <v>2.5</v>
      </c>
      <c r="M26">
        <v>3.5</v>
      </c>
      <c r="N26">
        <v>4.5999999999999996</v>
      </c>
      <c r="Q26">
        <v>142</v>
      </c>
      <c r="R26">
        <v>1.7</v>
      </c>
      <c r="S26">
        <v>2.2999999999999998</v>
      </c>
      <c r="T26">
        <v>2.8</v>
      </c>
      <c r="U26">
        <v>3.3</v>
      </c>
      <c r="V26">
        <v>3.9</v>
      </c>
    </row>
    <row r="27" spans="4:22" x14ac:dyDescent="0.2">
      <c r="J27">
        <v>143</v>
      </c>
      <c r="L27">
        <v>2.5</v>
      </c>
      <c r="M27">
        <v>3.4</v>
      </c>
      <c r="N27">
        <v>4.5999999999999996</v>
      </c>
      <c r="Q27">
        <v>143</v>
      </c>
      <c r="R27">
        <v>1.7</v>
      </c>
      <c r="S27">
        <v>2.2000000000000002</v>
      </c>
      <c r="T27">
        <v>2.7</v>
      </c>
      <c r="U27">
        <v>3.3</v>
      </c>
      <c r="V27">
        <v>3.8</v>
      </c>
    </row>
    <row r="28" spans="4:22" x14ac:dyDescent="0.2">
      <c r="J28">
        <v>144</v>
      </c>
      <c r="L28">
        <v>2.5</v>
      </c>
      <c r="M28">
        <v>3.4</v>
      </c>
      <c r="N28">
        <v>4.5</v>
      </c>
      <c r="Q28">
        <v>144</v>
      </c>
      <c r="R28">
        <v>1.7</v>
      </c>
      <c r="S28">
        <v>2.2000000000000002</v>
      </c>
      <c r="T28">
        <v>2.7</v>
      </c>
      <c r="U28">
        <v>3.2</v>
      </c>
      <c r="V28">
        <v>3.8</v>
      </c>
    </row>
    <row r="29" spans="4:22" x14ac:dyDescent="0.2">
      <c r="J29">
        <v>145</v>
      </c>
      <c r="L29">
        <v>2.4</v>
      </c>
      <c r="M29">
        <v>3.4</v>
      </c>
      <c r="N29">
        <v>4.5</v>
      </c>
      <c r="Q29">
        <v>145</v>
      </c>
      <c r="R29">
        <v>1.6</v>
      </c>
      <c r="S29">
        <v>2.2000000000000002</v>
      </c>
      <c r="T29">
        <v>2.7</v>
      </c>
      <c r="U29">
        <v>3.2</v>
      </c>
      <c r="V29">
        <v>3.7</v>
      </c>
    </row>
    <row r="30" spans="4:22" x14ac:dyDescent="0.2">
      <c r="J30">
        <v>146</v>
      </c>
      <c r="L30">
        <v>2.4</v>
      </c>
      <c r="M30">
        <v>3.3</v>
      </c>
      <c r="N30">
        <v>4.4000000000000004</v>
      </c>
      <c r="Q30">
        <v>146</v>
      </c>
      <c r="R30">
        <v>1.6</v>
      </c>
      <c r="S30">
        <v>2.2000000000000002</v>
      </c>
      <c r="T30">
        <v>2.6</v>
      </c>
      <c r="U30">
        <v>3.2</v>
      </c>
      <c r="V30">
        <v>3.7</v>
      </c>
    </row>
    <row r="31" spans="4:22" x14ac:dyDescent="0.2">
      <c r="J31">
        <v>147</v>
      </c>
      <c r="L31">
        <v>2.4</v>
      </c>
      <c r="M31">
        <v>3.3</v>
      </c>
      <c r="N31">
        <v>4.4000000000000004</v>
      </c>
      <c r="Q31">
        <v>147</v>
      </c>
      <c r="R31">
        <v>1.6</v>
      </c>
      <c r="S31">
        <v>2.1</v>
      </c>
      <c r="T31">
        <v>2.6</v>
      </c>
      <c r="U31">
        <v>3.1</v>
      </c>
      <c r="V31">
        <v>3.6</v>
      </c>
    </row>
    <row r="32" spans="4:22" x14ac:dyDescent="0.2">
      <c r="J32">
        <v>148</v>
      </c>
      <c r="L32">
        <v>2.4</v>
      </c>
      <c r="M32">
        <v>3.2</v>
      </c>
      <c r="N32">
        <v>4.3</v>
      </c>
      <c r="Q32">
        <v>148</v>
      </c>
      <c r="R32">
        <v>1.6</v>
      </c>
      <c r="S32">
        <v>2.1</v>
      </c>
      <c r="T32">
        <v>2.6</v>
      </c>
      <c r="U32">
        <v>3.1</v>
      </c>
      <c r="V32">
        <v>3.6</v>
      </c>
    </row>
    <row r="33" spans="10:22" x14ac:dyDescent="0.2">
      <c r="J33">
        <v>149</v>
      </c>
      <c r="L33">
        <v>2.2999999999999998</v>
      </c>
      <c r="M33">
        <v>3.2</v>
      </c>
      <c r="N33">
        <v>4.3</v>
      </c>
      <c r="Q33">
        <v>149</v>
      </c>
      <c r="S33">
        <v>2.1</v>
      </c>
      <c r="T33">
        <v>2.6</v>
      </c>
      <c r="U33">
        <v>3</v>
      </c>
      <c r="V33">
        <v>3.5</v>
      </c>
    </row>
    <row r="34" spans="10:22" x14ac:dyDescent="0.2">
      <c r="J34">
        <v>150</v>
      </c>
      <c r="L34">
        <v>2.2999999999999998</v>
      </c>
      <c r="M34">
        <v>3.2</v>
      </c>
      <c r="N34">
        <v>4.2</v>
      </c>
      <c r="Q34">
        <v>150</v>
      </c>
      <c r="S34">
        <v>2</v>
      </c>
      <c r="T34">
        <v>2.5</v>
      </c>
      <c r="U34">
        <v>3</v>
      </c>
      <c r="V34">
        <v>3.5</v>
      </c>
    </row>
    <row r="35" spans="10:22" x14ac:dyDescent="0.2">
      <c r="J35">
        <v>151</v>
      </c>
      <c r="L35">
        <v>2.2999999999999998</v>
      </c>
      <c r="M35">
        <v>3.1</v>
      </c>
      <c r="N35">
        <v>4.2</v>
      </c>
      <c r="Q35">
        <v>151</v>
      </c>
      <c r="S35">
        <v>2</v>
      </c>
      <c r="T35">
        <v>2.5</v>
      </c>
      <c r="U35">
        <v>3</v>
      </c>
      <c r="V35">
        <v>3.4</v>
      </c>
    </row>
    <row r="36" spans="10:22" x14ac:dyDescent="0.2">
      <c r="J36">
        <v>152</v>
      </c>
      <c r="L36">
        <v>2.2999999999999998</v>
      </c>
      <c r="M36">
        <v>3.1</v>
      </c>
      <c r="N36">
        <v>4.0999999999999996</v>
      </c>
      <c r="Q36">
        <v>152</v>
      </c>
      <c r="S36">
        <v>2</v>
      </c>
      <c r="T36">
        <v>2.5</v>
      </c>
      <c r="U36">
        <v>2.9</v>
      </c>
      <c r="V36">
        <v>3.4</v>
      </c>
    </row>
    <row r="37" spans="10:22" x14ac:dyDescent="0.2">
      <c r="J37">
        <v>153</v>
      </c>
      <c r="M37">
        <v>3</v>
      </c>
      <c r="N37">
        <v>4</v>
      </c>
      <c r="Q37">
        <v>153</v>
      </c>
      <c r="S37">
        <v>2</v>
      </c>
      <c r="T37">
        <v>2.4</v>
      </c>
      <c r="U37">
        <v>2.9</v>
      </c>
      <c r="V37">
        <v>3.3</v>
      </c>
    </row>
    <row r="38" spans="10:22" x14ac:dyDescent="0.2">
      <c r="J38">
        <v>154</v>
      </c>
      <c r="M38">
        <v>3</v>
      </c>
      <c r="N38">
        <v>4</v>
      </c>
      <c r="Q38">
        <v>154</v>
      </c>
      <c r="S38">
        <v>2</v>
      </c>
      <c r="T38">
        <v>2.4</v>
      </c>
      <c r="U38">
        <v>2.8</v>
      </c>
      <c r="V38">
        <v>3.3</v>
      </c>
    </row>
    <row r="39" spans="10:22" x14ac:dyDescent="0.2">
      <c r="J39">
        <v>155</v>
      </c>
      <c r="M39">
        <v>3</v>
      </c>
      <c r="N39">
        <v>4</v>
      </c>
      <c r="Q39">
        <v>155</v>
      </c>
      <c r="S39">
        <v>1.9</v>
      </c>
      <c r="T39">
        <v>2.4</v>
      </c>
      <c r="U39">
        <v>2.8</v>
      </c>
      <c r="V39">
        <v>3.2</v>
      </c>
    </row>
    <row r="40" spans="10:22" x14ac:dyDescent="0.2">
      <c r="J40">
        <v>156</v>
      </c>
      <c r="M40">
        <v>2.9</v>
      </c>
      <c r="N40">
        <v>3.9</v>
      </c>
      <c r="Q40">
        <v>156</v>
      </c>
      <c r="S40">
        <v>1.9</v>
      </c>
      <c r="T40">
        <v>2.2999999999999998</v>
      </c>
      <c r="U40">
        <v>2.8</v>
      </c>
      <c r="V40">
        <v>3.2</v>
      </c>
    </row>
    <row r="41" spans="10:22" x14ac:dyDescent="0.2">
      <c r="J41">
        <v>157</v>
      </c>
      <c r="M41">
        <v>2.9</v>
      </c>
      <c r="N41">
        <v>3.9</v>
      </c>
      <c r="Q41">
        <v>157</v>
      </c>
      <c r="S41">
        <v>1.9</v>
      </c>
      <c r="T41">
        <v>2.2999999999999998</v>
      </c>
      <c r="U41">
        <v>2.7</v>
      </c>
      <c r="V41">
        <v>3.2</v>
      </c>
    </row>
    <row r="42" spans="10:22" x14ac:dyDescent="0.2">
      <c r="J42">
        <v>158</v>
      </c>
      <c r="M42">
        <v>2.9</v>
      </c>
      <c r="N42">
        <v>3.8</v>
      </c>
      <c r="Q42">
        <v>158</v>
      </c>
      <c r="S42">
        <v>1.8</v>
      </c>
      <c r="T42">
        <v>2.2999999999999998</v>
      </c>
      <c r="U42">
        <v>2.7</v>
      </c>
      <c r="V42">
        <v>3.1</v>
      </c>
    </row>
    <row r="43" spans="10:22" x14ac:dyDescent="0.2">
      <c r="J43">
        <v>159</v>
      </c>
      <c r="M43">
        <v>2.8</v>
      </c>
      <c r="N43">
        <v>3.8</v>
      </c>
      <c r="Q43">
        <v>159</v>
      </c>
      <c r="S43">
        <v>1.8</v>
      </c>
      <c r="T43">
        <v>2.2000000000000002</v>
      </c>
      <c r="U43">
        <v>2.7</v>
      </c>
      <c r="V43">
        <v>3.1</v>
      </c>
    </row>
    <row r="44" spans="10:22" x14ac:dyDescent="0.2">
      <c r="J44">
        <v>160</v>
      </c>
      <c r="M44">
        <v>2.8</v>
      </c>
      <c r="N44">
        <v>3.7</v>
      </c>
      <c r="Q44">
        <v>160</v>
      </c>
      <c r="S44">
        <v>1.8</v>
      </c>
      <c r="T44">
        <v>2.2000000000000002</v>
      </c>
      <c r="U44">
        <v>2.6</v>
      </c>
      <c r="V44">
        <v>3</v>
      </c>
    </row>
    <row r="45" spans="10:22" x14ac:dyDescent="0.2">
      <c r="J45">
        <v>161</v>
      </c>
      <c r="M45">
        <v>2.8</v>
      </c>
      <c r="N45">
        <v>3.7</v>
      </c>
      <c r="Q45">
        <v>161</v>
      </c>
      <c r="S45">
        <v>1.8</v>
      </c>
      <c r="T45">
        <v>2.2000000000000002</v>
      </c>
      <c r="U45">
        <v>2.6</v>
      </c>
      <c r="V45">
        <v>3</v>
      </c>
    </row>
    <row r="46" spans="10:22" x14ac:dyDescent="0.2">
      <c r="J46">
        <v>162</v>
      </c>
      <c r="M46">
        <v>2.8</v>
      </c>
      <c r="N46">
        <v>3.7</v>
      </c>
      <c r="Q46">
        <v>162</v>
      </c>
      <c r="S46">
        <v>1.8</v>
      </c>
      <c r="T46">
        <v>2.2000000000000002</v>
      </c>
      <c r="U46">
        <v>2.6</v>
      </c>
      <c r="V46">
        <v>3</v>
      </c>
    </row>
    <row r="47" spans="10:22" x14ac:dyDescent="0.2">
      <c r="J47">
        <v>163</v>
      </c>
      <c r="M47">
        <v>2.8</v>
      </c>
      <c r="N47">
        <v>3.6</v>
      </c>
      <c r="Q47">
        <v>163</v>
      </c>
      <c r="S47">
        <v>1.7</v>
      </c>
      <c r="T47">
        <v>2.2000000000000002</v>
      </c>
      <c r="U47">
        <v>2.6</v>
      </c>
      <c r="V47">
        <v>2.9</v>
      </c>
    </row>
    <row r="48" spans="10:22" x14ac:dyDescent="0.2">
      <c r="J48">
        <v>164</v>
      </c>
      <c r="M48">
        <v>2.7</v>
      </c>
      <c r="N48">
        <v>3.6</v>
      </c>
      <c r="Q48">
        <v>164</v>
      </c>
      <c r="S48">
        <v>1.7</v>
      </c>
      <c r="T48">
        <v>2.1</v>
      </c>
      <c r="U48">
        <v>2.5</v>
      </c>
      <c r="V48">
        <v>2.9</v>
      </c>
    </row>
    <row r="49" spans="10:22" x14ac:dyDescent="0.2">
      <c r="J49">
        <v>165</v>
      </c>
      <c r="M49">
        <v>2.7</v>
      </c>
      <c r="N49">
        <v>3.6</v>
      </c>
      <c r="Q49">
        <v>165</v>
      </c>
      <c r="S49">
        <v>1.7</v>
      </c>
      <c r="T49">
        <v>2.1</v>
      </c>
      <c r="U49">
        <v>2.5</v>
      </c>
      <c r="V49">
        <v>2.9</v>
      </c>
    </row>
    <row r="50" spans="10:22" x14ac:dyDescent="0.2">
      <c r="J50">
        <v>166</v>
      </c>
      <c r="M50">
        <v>2.7</v>
      </c>
      <c r="N50">
        <v>3.5</v>
      </c>
      <c r="Q50">
        <v>166</v>
      </c>
      <c r="S50">
        <v>1.7</v>
      </c>
      <c r="T50">
        <v>2.1</v>
      </c>
      <c r="U50">
        <v>2.5</v>
      </c>
      <c r="V50">
        <v>2.8</v>
      </c>
    </row>
    <row r="51" spans="10:22" x14ac:dyDescent="0.2">
      <c r="J51">
        <v>167</v>
      </c>
      <c r="M51">
        <v>2.6</v>
      </c>
      <c r="N51">
        <v>3.5</v>
      </c>
      <c r="Q51">
        <v>167</v>
      </c>
      <c r="S51">
        <v>1.6</v>
      </c>
      <c r="T51">
        <v>2.1</v>
      </c>
      <c r="U51">
        <v>2.4</v>
      </c>
      <c r="V51">
        <v>2.8</v>
      </c>
    </row>
    <row r="52" spans="10:22" x14ac:dyDescent="0.2">
      <c r="J52">
        <v>168</v>
      </c>
      <c r="M52">
        <v>2.6</v>
      </c>
      <c r="N52">
        <v>3.5</v>
      </c>
      <c r="Q52">
        <v>168</v>
      </c>
      <c r="S52">
        <v>1.6</v>
      </c>
      <c r="T52">
        <v>2</v>
      </c>
      <c r="U52">
        <v>2.4</v>
      </c>
      <c r="V52">
        <v>2.8</v>
      </c>
    </row>
    <row r="53" spans="10:22" x14ac:dyDescent="0.2">
      <c r="J53">
        <v>169</v>
      </c>
      <c r="M53">
        <v>2.6</v>
      </c>
      <c r="N53">
        <v>3.4</v>
      </c>
      <c r="Q53">
        <v>169</v>
      </c>
      <c r="S53">
        <v>1.6</v>
      </c>
      <c r="T53">
        <v>2</v>
      </c>
      <c r="U53">
        <v>2.4</v>
      </c>
      <c r="V53">
        <v>2.8</v>
      </c>
    </row>
    <row r="54" spans="10:22" x14ac:dyDescent="0.2">
      <c r="J54">
        <v>170</v>
      </c>
      <c r="M54">
        <v>2.6</v>
      </c>
      <c r="N54">
        <v>3.4</v>
      </c>
      <c r="Q54">
        <v>170</v>
      </c>
      <c r="S54">
        <v>1.6</v>
      </c>
      <c r="T54">
        <v>2</v>
      </c>
      <c r="U54">
        <v>2.4</v>
      </c>
      <c r="V54">
        <v>2.7</v>
      </c>
    </row>
    <row r="57" spans="10:22" x14ac:dyDescent="0.2">
      <c r="J57" t="s">
        <v>14</v>
      </c>
      <c r="K57" t="s">
        <v>16</v>
      </c>
    </row>
    <row r="58" spans="10:22" x14ac:dyDescent="0.2">
      <c r="J58">
        <v>20</v>
      </c>
      <c r="K58">
        <v>1.1000000000000001</v>
      </c>
    </row>
    <row r="59" spans="10:22" x14ac:dyDescent="0.2">
      <c r="J59">
        <v>30</v>
      </c>
      <c r="K59">
        <v>1</v>
      </c>
    </row>
    <row r="60" spans="10:22" x14ac:dyDescent="0.2">
      <c r="J60">
        <v>39</v>
      </c>
      <c r="K60">
        <v>0.87</v>
      </c>
    </row>
    <row r="61" spans="10:22" x14ac:dyDescent="0.2">
      <c r="J61">
        <v>44</v>
      </c>
      <c r="K61">
        <v>0.83</v>
      </c>
    </row>
    <row r="62" spans="10:22" x14ac:dyDescent="0.2">
      <c r="J62">
        <v>49</v>
      </c>
      <c r="K62">
        <v>0.78</v>
      </c>
    </row>
    <row r="63" spans="10:22" x14ac:dyDescent="0.2">
      <c r="J63">
        <v>54</v>
      </c>
      <c r="K63">
        <v>0.75</v>
      </c>
    </row>
    <row r="64" spans="10:22" x14ac:dyDescent="0.2">
      <c r="J64">
        <v>59</v>
      </c>
      <c r="K64">
        <v>0.71</v>
      </c>
    </row>
    <row r="65" spans="10:13" x14ac:dyDescent="0.2">
      <c r="J65">
        <v>64</v>
      </c>
      <c r="K65">
        <v>0.68</v>
      </c>
    </row>
    <row r="66" spans="10:13" x14ac:dyDescent="0.2">
      <c r="J66">
        <v>100</v>
      </c>
      <c r="K66">
        <v>0.65</v>
      </c>
    </row>
    <row r="71" spans="10:13" x14ac:dyDescent="0.2">
      <c r="M71">
        <f>4.8*0.75</f>
        <v>3.5999999999999996</v>
      </c>
    </row>
  </sheetData>
  <sheetProtection sheet="1" objects="1" scenarios="1" selectLockedCells="1"/>
  <phoneticPr fontId="0" type="noConversion"/>
  <pageMargins left="0.75" right="0.75" top="0.984251969" bottom="0.984251969" header="0.5" footer="0.5"/>
  <pageSetup paperSize="9" orientation="portrait" verticalDpi="0"/>
  <headerFooter alignWithMargins="0"/>
  <cellWatches>
    <cellWatch r="C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workbookViewId="0">
      <selection activeCell="C7" sqref="C7"/>
    </sheetView>
  </sheetViews>
  <sheetFormatPr baseColWidth="10" defaultRowHeight="12.75" x14ac:dyDescent="0.2"/>
  <cols>
    <col min="1" max="1" width="7.140625" customWidth="1"/>
    <col min="2" max="2" width="15.85546875" bestFit="1" customWidth="1"/>
    <col min="6" max="6" width="6.85546875" customWidth="1"/>
    <col min="7" max="7" width="206.28515625" bestFit="1" customWidth="1"/>
  </cols>
  <sheetData>
    <row r="2" spans="2:7" ht="22.5" x14ac:dyDescent="0.3">
      <c r="G2" s="11" t="s">
        <v>32</v>
      </c>
    </row>
    <row r="3" spans="2:7" ht="15" x14ac:dyDescent="0.25">
      <c r="B3" s="3" t="s">
        <v>14</v>
      </c>
      <c r="C3" s="15">
        <v>46</v>
      </c>
    </row>
    <row r="4" spans="2:7" ht="20.25" thickBot="1" x14ac:dyDescent="0.35">
      <c r="B4" s="3" t="s">
        <v>10</v>
      </c>
      <c r="C4" s="15">
        <v>189</v>
      </c>
      <c r="G4" s="12" t="s">
        <v>35</v>
      </c>
    </row>
    <row r="5" spans="2:7" ht="15.75" thickTop="1" x14ac:dyDescent="0.25">
      <c r="B5" s="3" t="s">
        <v>46</v>
      </c>
      <c r="C5" s="15">
        <v>88</v>
      </c>
      <c r="F5">
        <v>0</v>
      </c>
      <c r="G5" t="s">
        <v>33</v>
      </c>
    </row>
    <row r="6" spans="2:7" ht="15" x14ac:dyDescent="0.25">
      <c r="B6" s="3" t="s">
        <v>31</v>
      </c>
      <c r="C6" s="17">
        <f>C5/(C4/100)^2</f>
        <v>24.635368550712467</v>
      </c>
      <c r="F6">
        <v>1</v>
      </c>
      <c r="G6" t="s">
        <v>34</v>
      </c>
    </row>
    <row r="7" spans="2:7" ht="15" x14ac:dyDescent="0.25">
      <c r="B7" s="3" t="s">
        <v>32</v>
      </c>
      <c r="C7" s="15">
        <v>4</v>
      </c>
    </row>
    <row r="8" spans="2:7" ht="20.25" thickBot="1" x14ac:dyDescent="0.35">
      <c r="G8" s="12" t="s">
        <v>36</v>
      </c>
    </row>
    <row r="9" spans="2:7" ht="15.75" thickTop="1" x14ac:dyDescent="0.25">
      <c r="B9" s="3" t="s">
        <v>44</v>
      </c>
      <c r="C9" s="18">
        <f>67.35-($C$6*0.754)-($C$3*0.381)+($C$7*1.921)</f>
        <v>38.932932112762799</v>
      </c>
      <c r="D9" s="13" t="s">
        <v>23</v>
      </c>
      <c r="F9">
        <v>2</v>
      </c>
      <c r="G9" t="s">
        <v>37</v>
      </c>
    </row>
    <row r="10" spans="2:7" ht="15" x14ac:dyDescent="0.25">
      <c r="B10" s="3" t="s">
        <v>45</v>
      </c>
      <c r="C10" s="18">
        <f>56.363-($C$6*0.754)-($C$3*0.381)+($C$7*1.921)</f>
        <v>27.945932112762804</v>
      </c>
      <c r="D10" s="13" t="s">
        <v>23</v>
      </c>
      <c r="F10">
        <v>3</v>
      </c>
      <c r="G10" t="s">
        <v>38</v>
      </c>
    </row>
    <row r="12" spans="2:7" ht="20.25" thickBot="1" x14ac:dyDescent="0.35">
      <c r="G12" s="12" t="s">
        <v>39</v>
      </c>
    </row>
    <row r="13" spans="2:7" ht="13.5" thickTop="1" x14ac:dyDescent="0.2">
      <c r="F13">
        <v>4</v>
      </c>
      <c r="G13" t="s">
        <v>40</v>
      </c>
    </row>
    <row r="14" spans="2:7" x14ac:dyDescent="0.2">
      <c r="F14">
        <v>5</v>
      </c>
      <c r="G14" t="s">
        <v>41</v>
      </c>
    </row>
    <row r="15" spans="2:7" x14ac:dyDescent="0.2">
      <c r="F15">
        <v>6</v>
      </c>
      <c r="G15" t="s">
        <v>42</v>
      </c>
    </row>
    <row r="16" spans="2:7" x14ac:dyDescent="0.2">
      <c r="F16">
        <v>7</v>
      </c>
      <c r="G16" t="s">
        <v>43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showGridLines="0" workbookViewId="0">
      <selection activeCell="C9" sqref="C9"/>
    </sheetView>
  </sheetViews>
  <sheetFormatPr baseColWidth="10" defaultRowHeight="12.75" x14ac:dyDescent="0.2"/>
  <cols>
    <col min="2" max="2" width="15.5703125" bestFit="1" customWidth="1"/>
    <col min="8" max="8" width="189.7109375" customWidth="1"/>
    <col min="9" max="9" width="120.7109375" customWidth="1"/>
  </cols>
  <sheetData>
    <row r="2" spans="2:16" ht="15" x14ac:dyDescent="0.25">
      <c r="B2" t="s">
        <v>66</v>
      </c>
      <c r="C2" s="15">
        <v>30</v>
      </c>
      <c r="D2" s="2" t="s">
        <v>24</v>
      </c>
    </row>
    <row r="3" spans="2:16" ht="15" x14ac:dyDescent="0.25">
      <c r="B3" t="s">
        <v>14</v>
      </c>
      <c r="C3" s="15">
        <v>20</v>
      </c>
      <c r="D3" s="2" t="s">
        <v>20</v>
      </c>
      <c r="K3" t="s">
        <v>67</v>
      </c>
      <c r="L3">
        <v>15</v>
      </c>
      <c r="M3">
        <v>20</v>
      </c>
      <c r="N3">
        <v>25</v>
      </c>
      <c r="O3">
        <v>30</v>
      </c>
      <c r="P3">
        <v>35</v>
      </c>
    </row>
    <row r="4" spans="2:16" x14ac:dyDescent="0.2">
      <c r="D4" s="2"/>
      <c r="K4">
        <v>15</v>
      </c>
      <c r="L4">
        <v>11</v>
      </c>
      <c r="M4">
        <v>14</v>
      </c>
      <c r="N4">
        <v>18</v>
      </c>
      <c r="O4">
        <v>21</v>
      </c>
      <c r="P4">
        <v>25</v>
      </c>
    </row>
    <row r="5" spans="2:16" ht="15" x14ac:dyDescent="0.25">
      <c r="B5" t="s">
        <v>68</v>
      </c>
      <c r="C5" s="15">
        <v>80</v>
      </c>
      <c r="D5" s="2" t="s">
        <v>19</v>
      </c>
      <c r="E5">
        <v>15</v>
      </c>
      <c r="F5" s="2" t="s">
        <v>69</v>
      </c>
      <c r="K5">
        <v>20</v>
      </c>
      <c r="L5">
        <v>12</v>
      </c>
      <c r="M5">
        <v>17</v>
      </c>
      <c r="N5">
        <v>21</v>
      </c>
      <c r="O5">
        <v>26</v>
      </c>
      <c r="P5">
        <v>29</v>
      </c>
    </row>
    <row r="6" spans="2:16" ht="15" x14ac:dyDescent="0.25">
      <c r="B6" t="s">
        <v>70</v>
      </c>
      <c r="C6" s="15">
        <v>90</v>
      </c>
      <c r="D6" s="2" t="s">
        <v>19</v>
      </c>
      <c r="E6">
        <v>20</v>
      </c>
      <c r="F6" s="2" t="s">
        <v>69</v>
      </c>
      <c r="K6">
        <v>25</v>
      </c>
      <c r="L6">
        <v>14</v>
      </c>
      <c r="M6">
        <v>19</v>
      </c>
      <c r="N6">
        <v>24</v>
      </c>
      <c r="O6">
        <v>28</v>
      </c>
      <c r="P6">
        <v>33</v>
      </c>
    </row>
    <row r="7" spans="2:16" ht="15" x14ac:dyDescent="0.25">
      <c r="B7" t="s">
        <v>71</v>
      </c>
      <c r="C7" s="15">
        <v>95</v>
      </c>
      <c r="D7" s="2" t="s">
        <v>19</v>
      </c>
      <c r="E7">
        <v>25</v>
      </c>
      <c r="F7" s="2" t="s">
        <v>69</v>
      </c>
      <c r="K7">
        <v>30</v>
      </c>
      <c r="L7">
        <v>16</v>
      </c>
      <c r="M7">
        <v>21</v>
      </c>
      <c r="N7">
        <v>27</v>
      </c>
      <c r="O7">
        <v>32</v>
      </c>
      <c r="P7">
        <v>37</v>
      </c>
    </row>
    <row r="8" spans="2:16" ht="15" x14ac:dyDescent="0.25">
      <c r="B8" t="s">
        <v>72</v>
      </c>
      <c r="C8" s="15">
        <v>132</v>
      </c>
      <c r="D8" s="2" t="s">
        <v>19</v>
      </c>
      <c r="E8">
        <v>30</v>
      </c>
      <c r="F8" s="2" t="s">
        <v>69</v>
      </c>
    </row>
    <row r="9" spans="2:16" ht="15" x14ac:dyDescent="0.25">
      <c r="B9" t="s">
        <v>73</v>
      </c>
      <c r="C9" s="15">
        <v>145</v>
      </c>
      <c r="D9" s="2" t="s">
        <v>19</v>
      </c>
      <c r="E9">
        <v>35</v>
      </c>
      <c r="F9" s="2" t="s">
        <v>69</v>
      </c>
    </row>
    <row r="10" spans="2:16" x14ac:dyDescent="0.2">
      <c r="D10" s="2"/>
      <c r="K10" t="s">
        <v>74</v>
      </c>
    </row>
    <row r="11" spans="2:16" ht="15" x14ac:dyDescent="0.25">
      <c r="B11" t="s">
        <v>75</v>
      </c>
      <c r="C11" s="16">
        <f>K16+(220-C3)*K17</f>
        <v>52.386315658760708</v>
      </c>
      <c r="D11" s="2" t="s">
        <v>23</v>
      </c>
      <c r="K11">
        <f>VLOOKUP($C$2,$K$4:$P$7,2)</f>
        <v>16</v>
      </c>
      <c r="L11">
        <f>IF(C5=0,"",C5)</f>
        <v>80</v>
      </c>
      <c r="O11" t="s">
        <v>76</v>
      </c>
      <c r="P11">
        <f>COUNTIF(C5:C9,0)</f>
        <v>0</v>
      </c>
    </row>
    <row r="12" spans="2:16" x14ac:dyDescent="0.2">
      <c r="K12">
        <f>VLOOKUP($C$2,$K$4:$P$7,3)</f>
        <v>21</v>
      </c>
      <c r="L12">
        <f t="shared" ref="L12:L15" si="0">IF(C6=0,"",C6)</f>
        <v>90</v>
      </c>
    </row>
    <row r="13" spans="2:16" x14ac:dyDescent="0.2">
      <c r="K13">
        <f>VLOOKUP($C$2,$K$4:$P$7,4)</f>
        <v>27</v>
      </c>
      <c r="L13">
        <f t="shared" si="0"/>
        <v>95</v>
      </c>
    </row>
    <row r="14" spans="2:16" x14ac:dyDescent="0.2">
      <c r="K14">
        <f>VLOOKUP($C$2,$K$4:$P$7,5)</f>
        <v>32</v>
      </c>
      <c r="L14">
        <f t="shared" si="0"/>
        <v>132</v>
      </c>
    </row>
    <row r="15" spans="2:16" x14ac:dyDescent="0.2">
      <c r="K15">
        <f>VLOOKUP($C$2,$K$4:$P$7,6)</f>
        <v>37</v>
      </c>
      <c r="L15">
        <f t="shared" si="0"/>
        <v>145</v>
      </c>
    </row>
    <row r="16" spans="2:16" x14ac:dyDescent="0.2">
      <c r="J16" t="s">
        <v>77</v>
      </c>
      <c r="K16">
        <f>INTERCEPT(K11:K15,L11:L15)</f>
        <v>-3.9156835961753416</v>
      </c>
      <c r="N16">
        <f>SLOPE(K11:K15,L11:L15)</f>
        <v>0.28150999627468026</v>
      </c>
      <c r="O16">
        <f>INTERCEPT(K11:K15,L11:L15)</f>
        <v>-3.9156835961753416</v>
      </c>
    </row>
    <row r="17" spans="10:15" x14ac:dyDescent="0.2">
      <c r="J17" t="s">
        <v>78</v>
      </c>
      <c r="K17">
        <f>SLOPE(K11:K15,L11:L15)</f>
        <v>0.28150999627468026</v>
      </c>
    </row>
    <row r="19" spans="10:15" x14ac:dyDescent="0.2">
      <c r="N19">
        <f>L11</f>
        <v>80</v>
      </c>
      <c r="O19">
        <f>K11</f>
        <v>16</v>
      </c>
    </row>
    <row r="20" spans="10:15" x14ac:dyDescent="0.2">
      <c r="N20">
        <f>L12</f>
        <v>90</v>
      </c>
      <c r="O20">
        <f t="shared" ref="O20:O23" si="1">K12</f>
        <v>21</v>
      </c>
    </row>
    <row r="21" spans="10:15" x14ac:dyDescent="0.2">
      <c r="N21">
        <f>L13</f>
        <v>95</v>
      </c>
      <c r="O21">
        <f t="shared" si="1"/>
        <v>27</v>
      </c>
    </row>
    <row r="22" spans="10:15" x14ac:dyDescent="0.2">
      <c r="N22">
        <f>L14</f>
        <v>132</v>
      </c>
      <c r="O22">
        <f t="shared" si="1"/>
        <v>32</v>
      </c>
    </row>
    <row r="23" spans="10:15" x14ac:dyDescent="0.2">
      <c r="N23">
        <f>L15</f>
        <v>145</v>
      </c>
      <c r="O23">
        <f t="shared" si="1"/>
        <v>37</v>
      </c>
    </row>
    <row r="25" spans="10:15" x14ac:dyDescent="0.2">
      <c r="M25" t="s">
        <v>79</v>
      </c>
      <c r="N25">
        <v>60</v>
      </c>
      <c r="O25">
        <f>K16+N25*K17</f>
        <v>12.974916180305474</v>
      </c>
    </row>
    <row r="26" spans="10:15" x14ac:dyDescent="0.2">
      <c r="M26" t="s">
        <v>80</v>
      </c>
      <c r="N26">
        <f>220-C3</f>
        <v>200</v>
      </c>
      <c r="O26">
        <f>K16+K17*N26</f>
        <v>52.386315658760708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0"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3" sqref="B3"/>
    </sheetView>
  </sheetViews>
  <sheetFormatPr baseColWidth="10" defaultRowHeight="12.75" x14ac:dyDescent="0.2"/>
  <cols>
    <col min="1" max="1" width="49" bestFit="1" customWidth="1"/>
    <col min="3" max="3" width="12.7109375" bestFit="1" customWidth="1"/>
  </cols>
  <sheetData>
    <row r="1" spans="1:3" ht="25.5" x14ac:dyDescent="0.35">
      <c r="A1" s="14" t="s">
        <v>65</v>
      </c>
    </row>
    <row r="3" spans="1:3" ht="15" x14ac:dyDescent="0.25">
      <c r="A3" s="25" t="s">
        <v>47</v>
      </c>
      <c r="B3" s="15">
        <v>300</v>
      </c>
      <c r="C3" s="25" t="s">
        <v>52</v>
      </c>
    </row>
    <row r="4" spans="1:3" ht="15" x14ac:dyDescent="0.25">
      <c r="A4" s="25" t="s">
        <v>48</v>
      </c>
      <c r="B4" s="15">
        <v>70</v>
      </c>
    </row>
    <row r="5" spans="1:3" ht="15" x14ac:dyDescent="0.25">
      <c r="A5" s="25" t="s">
        <v>49</v>
      </c>
      <c r="B5" s="15">
        <v>60</v>
      </c>
    </row>
    <row r="6" spans="1:3" ht="15" x14ac:dyDescent="0.25">
      <c r="A6" s="25" t="s">
        <v>50</v>
      </c>
      <c r="B6" s="15">
        <v>50</v>
      </c>
    </row>
    <row r="7" spans="1:3" ht="15" x14ac:dyDescent="0.25">
      <c r="A7" s="25" t="s">
        <v>64</v>
      </c>
      <c r="B7" s="19">
        <f>B4+B5+B6</f>
        <v>180</v>
      </c>
    </row>
    <row r="9" spans="1:3" ht="15" x14ac:dyDescent="0.25">
      <c r="A9" s="25" t="s">
        <v>51</v>
      </c>
      <c r="B9" s="24">
        <f>B3*100/((B4+B5+B6)*2)</f>
        <v>83.333333333333329</v>
      </c>
    </row>
    <row r="13" spans="1:3" ht="15" x14ac:dyDescent="0.25">
      <c r="A13" s="25" t="s">
        <v>53</v>
      </c>
      <c r="B13" s="25"/>
    </row>
    <row r="14" spans="1:3" ht="15" x14ac:dyDescent="0.25">
      <c r="A14" s="25" t="s">
        <v>54</v>
      </c>
      <c r="B14" s="25" t="s">
        <v>55</v>
      </c>
    </row>
    <row r="15" spans="1:3" ht="15" x14ac:dyDescent="0.25">
      <c r="A15" s="25" t="s">
        <v>56</v>
      </c>
      <c r="B15" s="25" t="s">
        <v>57</v>
      </c>
    </row>
    <row r="16" spans="1:3" ht="15" x14ac:dyDescent="0.25">
      <c r="A16" s="25" t="s">
        <v>58</v>
      </c>
      <c r="B16" s="25" t="s">
        <v>59</v>
      </c>
    </row>
    <row r="17" spans="1:2" ht="15" x14ac:dyDescent="0.25">
      <c r="A17" s="25" t="s">
        <v>60</v>
      </c>
      <c r="B17" s="25" t="s">
        <v>61</v>
      </c>
    </row>
    <row r="18" spans="1:2" ht="15" x14ac:dyDescent="0.25">
      <c r="A18" s="25" t="s">
        <v>62</v>
      </c>
      <c r="B18" s="25" t="s">
        <v>63</v>
      </c>
    </row>
  </sheetData>
  <sheetProtection sheet="1" objects="1" scenarios="1" selectLockedCells="1"/>
  <conditionalFormatting sqref="B3">
    <cfRule type="cellIs" dxfId="0" priority="5" operator="greaterThan">
      <formula>300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Spirometri</vt:lpstr>
      <vt:lpstr>Kroppsfett</vt:lpstr>
      <vt:lpstr>Aastrand</vt:lpstr>
      <vt:lpstr>University of Houston</vt:lpstr>
      <vt:lpstr>Chester step test beregningsark</vt:lpstr>
      <vt:lpstr>Chester step test plotteark</vt:lpstr>
      <vt:lpstr>Harvard Step test</vt:lpstr>
    </vt:vector>
  </TitlesOfParts>
  <Company>NUI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Risberg</dc:creator>
  <cp:lastModifiedBy>Jan Risberg</cp:lastModifiedBy>
  <dcterms:created xsi:type="dcterms:W3CDTF">2006-03-20T09:49:10Z</dcterms:created>
  <dcterms:modified xsi:type="dcterms:W3CDTF">2016-01-11T15:26:32Z</dcterms:modified>
</cp:coreProperties>
</file>